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35" windowHeight="8895" firstSheet="1" activeTab="1"/>
  </bookViews>
  <sheets>
    <sheet name="dbSheet" sheetId="1" state="veryHidden" r:id="rId1"/>
    <sheet name="confidence intervals" sheetId="2" r:id="rId2"/>
  </sheets>
  <calcPr calcId="125725"/>
  <customWorkbookViews>
    <customWorkbookView name="Andreas Ziegler - Persönliche Ansicht" guid="{00EB5A9C-A171-465E-B4CD-258B8DD97ACA}" mergeInterval="0" personalView="1" maximized="1" xWindow="1" yWindow="1" windowWidth="1671" windowHeight="1008" activeSheetId="2"/>
  </customWorkbookViews>
</workbook>
</file>

<file path=xl/calcChain.xml><?xml version="1.0" encoding="utf-8"?>
<calcChain xmlns="http://schemas.openxmlformats.org/spreadsheetml/2006/main">
  <c r="C10" i="2"/>
  <c r="C29"/>
  <c r="D53"/>
  <c r="C53"/>
  <c r="D52"/>
  <c r="C52"/>
  <c r="D51"/>
  <c r="C51"/>
  <c r="A53"/>
  <c r="A52"/>
  <c r="A51"/>
  <c r="C50"/>
  <c r="C49"/>
  <c r="H44"/>
  <c r="H43"/>
  <c r="H45" s="1"/>
  <c r="G44"/>
  <c r="G43"/>
  <c r="G46" s="1"/>
  <c r="A58"/>
  <c r="H57"/>
  <c r="H56"/>
  <c r="G57"/>
  <c r="G56"/>
  <c r="G58" s="1"/>
  <c r="A46"/>
  <c r="A45"/>
  <c r="H38"/>
  <c r="H39" s="1"/>
  <c r="H37"/>
  <c r="H36"/>
  <c r="G38" s="1"/>
  <c r="G36"/>
  <c r="G29"/>
  <c r="A32"/>
  <c r="A33"/>
  <c r="H26"/>
  <c r="G26"/>
  <c r="C30"/>
  <c r="C37" s="1"/>
  <c r="G25"/>
  <c r="H25"/>
  <c r="H24"/>
  <c r="G24"/>
  <c r="G27" s="1"/>
  <c r="H27"/>
  <c r="A21"/>
  <c r="C19"/>
  <c r="C18"/>
  <c r="C36" s="1"/>
  <c r="G3"/>
  <c r="G4" s="1"/>
  <c r="G6" s="1"/>
  <c r="A11"/>
  <c r="A10"/>
  <c r="C9"/>
  <c r="G11" l="1"/>
  <c r="C20"/>
  <c r="H3"/>
  <c r="G16"/>
  <c r="C31"/>
  <c r="G28"/>
  <c r="G30"/>
  <c r="D32"/>
  <c r="D39" s="1"/>
  <c r="G37"/>
  <c r="G39" s="1"/>
  <c r="C57"/>
  <c r="H59"/>
  <c r="G45"/>
  <c r="I45" s="1"/>
  <c r="G12"/>
  <c r="H16"/>
  <c r="H28"/>
  <c r="H30"/>
  <c r="C32" s="1"/>
  <c r="C39" s="1"/>
  <c r="G59"/>
  <c r="G5"/>
  <c r="C58" l="1"/>
  <c r="D58"/>
  <c r="C43"/>
  <c r="C11"/>
  <c r="D11"/>
  <c r="C33"/>
  <c r="C40" s="1"/>
  <c r="C38"/>
  <c r="D33"/>
  <c r="D40" s="1"/>
  <c r="G15"/>
  <c r="G14"/>
  <c r="G10"/>
  <c r="H15"/>
  <c r="H14"/>
  <c r="G18" l="1"/>
  <c r="H18"/>
  <c r="D10"/>
  <c r="D46"/>
  <c r="C46"/>
  <c r="C44"/>
  <c r="D45" s="1"/>
  <c r="C45"/>
  <c r="H17"/>
  <c r="G17"/>
  <c r="C21" s="1"/>
  <c r="A40"/>
  <c r="A39"/>
  <c r="D21" l="1"/>
</calcChain>
</file>

<file path=xl/sharedStrings.xml><?xml version="1.0" encoding="utf-8"?>
<sst xmlns="http://schemas.openxmlformats.org/spreadsheetml/2006/main" count="57" uniqueCount="44">
  <si>
    <t>Confidence intervals for proportions, differences, relative risk, attributable risk, attributable risk in the exposed and the odds ratio.</t>
  </si>
  <si>
    <t>Replace bold values as appropriate.</t>
  </si>
  <si>
    <t>Confidence level:</t>
  </si>
  <si>
    <t>%</t>
  </si>
  <si>
    <t>Risk</t>
  </si>
  <si>
    <t>First CI according to Wilson 1927 JASA 22:209-12. Second confidence interval according to formula provided by Ziegler &amp; König</t>
  </si>
  <si>
    <t>Observed</t>
  </si>
  <si>
    <t>out of</t>
  </si>
  <si>
    <t>Estimated risk</t>
  </si>
  <si>
    <t>Quantile</t>
  </si>
  <si>
    <t>c</t>
  </si>
  <si>
    <t>Term 1</t>
  </si>
  <si>
    <t>Term 2</t>
  </si>
  <si>
    <t>% CI (Wilson)</t>
  </si>
  <si>
    <t>% CI</t>
  </si>
  <si>
    <t>Risk difference</t>
  </si>
  <si>
    <t>CI according to Newcombe 1998 Stat Med 17:873-90, method 10.</t>
  </si>
  <si>
    <t>Affected</t>
  </si>
  <si>
    <t>Unaffected</t>
  </si>
  <si>
    <t>Unaffected proportion</t>
  </si>
  <si>
    <t>Affected proportion</t>
  </si>
  <si>
    <t>Relative risk</t>
  </si>
  <si>
    <t>Standard approach  according to Price &amp; Bonett 2008 Stat Med 27:5497-508.</t>
  </si>
  <si>
    <t>Credible interval approach with A and B according to Price &amp; Bonett.</t>
  </si>
  <si>
    <t>Recommended values are A = 1.25 and B = 2.5.</t>
  </si>
  <si>
    <t>A</t>
  </si>
  <si>
    <t>B</t>
  </si>
  <si>
    <t>Relative risk G unbiased</t>
  </si>
  <si>
    <t>Relative risk G,0.5 biased</t>
  </si>
  <si>
    <t>Relative risk Price &amp; Bonett</t>
  </si>
  <si>
    <t>% credible int</t>
  </si>
  <si>
    <r>
      <t>Attributable risk of variant carriers AR</t>
    </r>
    <r>
      <rPr>
        <b/>
        <vertAlign val="subscript"/>
        <sz val="11"/>
        <color theme="1"/>
        <rFont val="Calibri"/>
        <family val="2"/>
        <scheme val="minor"/>
      </rPr>
      <t>G</t>
    </r>
  </si>
  <si>
    <r>
      <t>AR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unbiased</t>
    </r>
  </si>
  <si>
    <r>
      <t>AR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biased</t>
    </r>
  </si>
  <si>
    <r>
      <t>AR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Price &amp; Bonett</t>
    </r>
  </si>
  <si>
    <t>AR</t>
  </si>
  <si>
    <t>S.E.</t>
  </si>
  <si>
    <t>% standard CI</t>
  </si>
  <si>
    <t>% log CI</t>
  </si>
  <si>
    <t>% logit CI</t>
  </si>
  <si>
    <t>Odds ratio</t>
  </si>
  <si>
    <t>Standard approach according to Woolf</t>
  </si>
  <si>
    <t>Attributable risk, cross-sectional</t>
  </si>
  <si>
    <t>Attributable risk, case-control</t>
  </si>
</sst>
</file>

<file path=xl/styles.xml><?xml version="1.0" encoding="utf-8"?>
<styleSheet xmlns="http://schemas.openxmlformats.org/spreadsheetml/2006/main">
  <numFmts count="1">
    <numFmt numFmtId="164" formatCode="0.0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 applyProtection="1">
      <protection hidden="1"/>
    </xf>
    <xf numFmtId="2" fontId="5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0" fontId="1" fillId="0" borderId="0" xfId="0" applyFont="1" applyProtection="1">
      <protection locked="0"/>
    </xf>
    <xf numFmtId="0" fontId="2" fillId="0" borderId="0" xfId="0" applyNumberFormat="1" applyFont="1" applyProtection="1"/>
    <xf numFmtId="0" fontId="0" fillId="0" borderId="0" xfId="0" applyProtection="1"/>
    <xf numFmtId="0" fontId="1" fillId="0" borderId="0" xfId="0" applyFont="1" applyProtection="1"/>
    <xf numFmtId="164" fontId="0" fillId="0" borderId="0" xfId="0" applyNumberFormat="1" applyProtection="1"/>
    <xf numFmtId="0" fontId="0" fillId="0" borderId="0" xfId="0" applyFont="1" applyProtection="1"/>
    <xf numFmtId="0" fontId="5" fillId="0" borderId="0" xfId="0" applyFont="1" applyProtection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customSheetViews>
    <customSheetView guid="{00EB5A9C-A171-465E-B4CD-258B8DD97ACA}" state="very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9"/>
  <sheetViews>
    <sheetView tabSelected="1" workbookViewId="0"/>
  </sheetViews>
  <sheetFormatPr baseColWidth="10" defaultRowHeight="15"/>
  <cols>
    <col min="1" max="1" width="11.42578125" style="6"/>
    <col min="2" max="2" width="12.7109375" style="6" bestFit="1" customWidth="1"/>
    <col min="3" max="6" width="11.42578125" style="6"/>
    <col min="7" max="8" width="11.42578125" style="1"/>
    <col min="9" max="16384" width="11.42578125" style="6"/>
  </cols>
  <sheetData>
    <row r="1" spans="1:10">
      <c r="A1" s="5" t="s">
        <v>0</v>
      </c>
    </row>
    <row r="2" spans="1:10">
      <c r="A2" s="6" t="s">
        <v>1</v>
      </c>
      <c r="F2" s="3"/>
      <c r="G2" s="2"/>
      <c r="H2" s="2"/>
      <c r="I2" s="3"/>
      <c r="J2" s="3"/>
    </row>
    <row r="3" spans="1:10">
      <c r="F3" s="3" t="s">
        <v>9</v>
      </c>
      <c r="G3" s="2">
        <f>NORMINV(1-(1-C4/100)/2,0,1)</f>
        <v>1.959963984540054</v>
      </c>
      <c r="H3" s="2">
        <f>G3^2</f>
        <v>3.8414588206941254</v>
      </c>
      <c r="I3" s="3"/>
      <c r="J3" s="3"/>
    </row>
    <row r="4" spans="1:10">
      <c r="A4" s="6" t="s">
        <v>2</v>
      </c>
      <c r="C4" s="4">
        <v>95</v>
      </c>
      <c r="D4" s="6" t="s">
        <v>3</v>
      </c>
      <c r="F4" s="3" t="s">
        <v>10</v>
      </c>
      <c r="G4" s="2">
        <f>G3/SQRT(E8)</f>
        <v>0.15793839874050611</v>
      </c>
      <c r="H4" s="2"/>
      <c r="I4" s="3"/>
      <c r="J4" s="3"/>
    </row>
    <row r="5" spans="1:10">
      <c r="F5" s="3" t="s">
        <v>11</v>
      </c>
      <c r="G5" s="2">
        <f>(C9+G4^2/2)/(1+G4^2)</f>
        <v>0.46198717342814277</v>
      </c>
      <c r="H5" s="2"/>
      <c r="I5" s="3"/>
      <c r="J5" s="3"/>
    </row>
    <row r="6" spans="1:10">
      <c r="A6" s="5" t="s">
        <v>4</v>
      </c>
      <c r="F6" s="3" t="s">
        <v>12</v>
      </c>
      <c r="G6" s="2">
        <f>G4*SQRT((C9*(1-C9)+G4^2/4)/(1+G4^2))</f>
        <v>7.8734942111749404E-2</v>
      </c>
      <c r="H6" s="2"/>
      <c r="I6" s="3"/>
      <c r="J6" s="3"/>
    </row>
    <row r="7" spans="1:10">
      <c r="A7" s="5" t="s">
        <v>5</v>
      </c>
      <c r="F7" s="3"/>
      <c r="G7" s="2"/>
      <c r="H7" s="2"/>
      <c r="I7" s="3"/>
      <c r="J7" s="3"/>
    </row>
    <row r="8" spans="1:10">
      <c r="A8" s="6" t="s">
        <v>6</v>
      </c>
      <c r="C8" s="4">
        <v>71</v>
      </c>
      <c r="D8" s="6" t="s">
        <v>7</v>
      </c>
      <c r="E8" s="4">
        <v>154</v>
      </c>
      <c r="F8" s="3"/>
      <c r="G8" s="2"/>
      <c r="H8" s="2"/>
      <c r="I8" s="3"/>
      <c r="J8" s="3"/>
    </row>
    <row r="9" spans="1:10">
      <c r="A9" s="6" t="s">
        <v>8</v>
      </c>
      <c r="C9" s="8">
        <f>C8/E8</f>
        <v>0.46103896103896103</v>
      </c>
      <c r="F9" s="3"/>
      <c r="G9" s="2"/>
      <c r="H9" s="2"/>
      <c r="I9" s="3"/>
      <c r="J9" s="3"/>
    </row>
    <row r="10" spans="1:10">
      <c r="A10" s="6">
        <f>C4</f>
        <v>95</v>
      </c>
      <c r="B10" s="6" t="s">
        <v>13</v>
      </c>
      <c r="C10" s="8">
        <f>(G10-G11)/G12</f>
        <v>0.38421623671346028</v>
      </c>
      <c r="D10" s="8">
        <f>(G10+G11)/G12</f>
        <v>0.53975811014282504</v>
      </c>
      <c r="F10" s="3"/>
      <c r="G10" s="2">
        <f>2*C8+H3</f>
        <v>145.84145882069413</v>
      </c>
      <c r="H10" s="2"/>
      <c r="I10" s="3"/>
      <c r="J10" s="3"/>
    </row>
    <row r="11" spans="1:10">
      <c r="A11" s="6">
        <f>C4</f>
        <v>95</v>
      </c>
      <c r="B11" s="6" t="s">
        <v>14</v>
      </c>
      <c r="C11" s="8">
        <f>G5-G6</f>
        <v>0.38325223131639335</v>
      </c>
      <c r="D11" s="8">
        <f>G5+G6</f>
        <v>0.54072211553989213</v>
      </c>
      <c r="F11" s="3"/>
      <c r="G11" s="2">
        <f>G3*(G3^2+4*C8*(1-C9))^0.5</f>
        <v>24.550956209794702</v>
      </c>
      <c r="H11" s="2"/>
      <c r="I11" s="3"/>
      <c r="J11" s="3"/>
    </row>
    <row r="12" spans="1:10">
      <c r="F12" s="3"/>
      <c r="G12" s="2">
        <f>2*(E8+G3^2)</f>
        <v>315.68291764138826</v>
      </c>
      <c r="H12" s="2"/>
      <c r="I12" s="3"/>
      <c r="J12" s="3"/>
    </row>
    <row r="13" spans="1:10">
      <c r="F13" s="3"/>
      <c r="G13" s="2"/>
      <c r="H13" s="2"/>
      <c r="I13" s="3"/>
      <c r="J13" s="3"/>
    </row>
    <row r="14" spans="1:10">
      <c r="A14" s="7" t="s">
        <v>15</v>
      </c>
      <c r="F14" s="3"/>
      <c r="G14" s="2">
        <f>2*C16+H3</f>
        <v>69.841458820694129</v>
      </c>
      <c r="H14" s="2">
        <f>2*C17+H3</f>
        <v>79.841458820694129</v>
      </c>
      <c r="I14" s="3"/>
      <c r="J14" s="3"/>
    </row>
    <row r="15" spans="1:10">
      <c r="A15" s="7" t="s">
        <v>16</v>
      </c>
      <c r="F15" s="3"/>
      <c r="G15" s="2">
        <f>2*(E16+H3)</f>
        <v>91.682917641388258</v>
      </c>
      <c r="H15" s="2">
        <f>2*(E17+H3)</f>
        <v>231.68291764138826</v>
      </c>
      <c r="I15" s="3"/>
      <c r="J15" s="3"/>
    </row>
    <row r="16" spans="1:10">
      <c r="A16" s="6" t="s">
        <v>17</v>
      </c>
      <c r="C16" s="4">
        <v>33</v>
      </c>
      <c r="D16" s="6" t="s">
        <v>7</v>
      </c>
      <c r="E16" s="4">
        <v>42</v>
      </c>
      <c r="F16" s="3"/>
      <c r="G16" s="2">
        <f>G3*(H3+4*C16*(1-C18))^0.5</f>
        <v>11.109239961112536</v>
      </c>
      <c r="H16" s="2">
        <f>G3*(H3+4*C17*(1-C19))^0.5</f>
        <v>20.013720979245324</v>
      </c>
      <c r="I16" s="3"/>
      <c r="J16" s="3"/>
    </row>
    <row r="17" spans="1:10">
      <c r="A17" s="6" t="s">
        <v>18</v>
      </c>
      <c r="C17" s="4">
        <v>38</v>
      </c>
      <c r="D17" s="6" t="s">
        <v>7</v>
      </c>
      <c r="E17" s="4">
        <v>112</v>
      </c>
      <c r="F17" s="3"/>
      <c r="G17" s="2">
        <f>(G14-G16)/G15</f>
        <v>0.64060154683677095</v>
      </c>
      <c r="H17" s="2">
        <f>(G14+G16)/G15</f>
        <v>0.88294200123996969</v>
      </c>
      <c r="I17" s="3"/>
      <c r="J17" s="3"/>
    </row>
    <row r="18" spans="1:10">
      <c r="A18" s="6" t="s">
        <v>20</v>
      </c>
      <c r="C18" s="8">
        <f>C16/E16</f>
        <v>0.7857142857142857</v>
      </c>
      <c r="F18" s="3"/>
      <c r="G18" s="2">
        <f>(H14-H16)/H15</f>
        <v>0.25823111367258211</v>
      </c>
      <c r="H18" s="2">
        <f>(H14+H16)/H15</f>
        <v>0.43099931931322127</v>
      </c>
      <c r="I18" s="3"/>
      <c r="J18" s="3"/>
    </row>
    <row r="19" spans="1:10">
      <c r="A19" s="6" t="s">
        <v>19</v>
      </c>
      <c r="C19" s="8">
        <f>C17/E17</f>
        <v>0.3392857142857143</v>
      </c>
      <c r="F19" s="3"/>
      <c r="G19" s="2"/>
      <c r="H19" s="2"/>
      <c r="I19" s="3"/>
      <c r="J19" s="3"/>
    </row>
    <row r="20" spans="1:10">
      <c r="A20" s="6" t="s">
        <v>15</v>
      </c>
      <c r="C20" s="8">
        <f>C18-C19</f>
        <v>0.4464285714285714</v>
      </c>
      <c r="F20" s="3"/>
      <c r="G20" s="2"/>
      <c r="H20" s="2"/>
      <c r="I20" s="3"/>
      <c r="J20" s="3"/>
    </row>
    <row r="21" spans="1:10">
      <c r="A21" s="6">
        <f>C4</f>
        <v>95</v>
      </c>
      <c r="B21" s="6" t="s">
        <v>14</v>
      </c>
      <c r="C21" s="8">
        <f>IF(C20=-1,-1,C20-G3*(G17*(1-G17)/E16+H18*(1-H18)/E17)^0.5)</f>
        <v>0.27476293033614035</v>
      </c>
      <c r="D21" s="8">
        <f>IF(C20=1,1,C20+G3*(H17*(1-H17)/E16+G18*(1-G18)/E17)^0.5)</f>
        <v>0.57301086460932282</v>
      </c>
      <c r="F21" s="3"/>
      <c r="G21" s="2"/>
      <c r="H21" s="2"/>
      <c r="I21" s="3"/>
      <c r="J21" s="3"/>
    </row>
    <row r="22" spans="1:10">
      <c r="F22" s="3"/>
      <c r="G22" s="2"/>
      <c r="H22" s="2"/>
      <c r="I22" s="3"/>
      <c r="J22" s="3"/>
    </row>
    <row r="23" spans="1:10">
      <c r="A23" s="7" t="s">
        <v>21</v>
      </c>
      <c r="F23" s="3"/>
      <c r="G23" s="2"/>
      <c r="H23" s="2"/>
      <c r="I23" s="3"/>
      <c r="J23" s="3"/>
    </row>
    <row r="24" spans="1:10">
      <c r="A24" s="7" t="s">
        <v>22</v>
      </c>
      <c r="F24" s="3"/>
      <c r="G24" s="2">
        <f>C16+B27-1</f>
        <v>33.25</v>
      </c>
      <c r="H24" s="2">
        <f>C17+B27-1</f>
        <v>38.25</v>
      </c>
      <c r="I24" s="3"/>
      <c r="J24" s="3"/>
    </row>
    <row r="25" spans="1:10">
      <c r="A25" s="7" t="s">
        <v>23</v>
      </c>
      <c r="F25" s="3"/>
      <c r="G25" s="2">
        <f>E16+B27+B28-2</f>
        <v>43.75</v>
      </c>
      <c r="H25" s="2">
        <f>E17+B27+B28-2</f>
        <v>113.75</v>
      </c>
      <c r="I25" s="3"/>
      <c r="J25" s="3"/>
    </row>
    <row r="26" spans="1:10">
      <c r="A26" s="7" t="s">
        <v>24</v>
      </c>
      <c r="F26" s="3"/>
      <c r="G26" s="2">
        <f>E16-C16+B28-1</f>
        <v>10.5</v>
      </c>
      <c r="H26" s="2">
        <f>E17-C17+B28-1</f>
        <v>75.5</v>
      </c>
      <c r="I26" s="3"/>
      <c r="J26" s="3"/>
    </row>
    <row r="27" spans="1:10">
      <c r="A27" s="9" t="s">
        <v>25</v>
      </c>
      <c r="B27" s="4">
        <v>1.25</v>
      </c>
      <c r="F27" s="3"/>
      <c r="G27" s="2">
        <f>1/(G24+(G24^2)/G26)</f>
        <v>7.2180451127819541E-3</v>
      </c>
      <c r="H27" s="2">
        <f>1/(H24+H24^2/H26)</f>
        <v>1.7352582058464412E-2</v>
      </c>
      <c r="I27" s="3"/>
      <c r="J27" s="3"/>
    </row>
    <row r="28" spans="1:10">
      <c r="A28" s="9" t="s">
        <v>26</v>
      </c>
      <c r="B28" s="4">
        <v>2.5</v>
      </c>
      <c r="F28" s="3"/>
      <c r="G28" s="2">
        <f>EXP(G3*SQRT(G27+H27))</f>
        <v>1.3596465263806028</v>
      </c>
      <c r="H28" s="2">
        <f>EXP(-G3*SQRT(G27+H27))</f>
        <v>0.7354852754723048</v>
      </c>
      <c r="I28" s="3"/>
      <c r="J28" s="3"/>
    </row>
    <row r="29" spans="1:10">
      <c r="A29" s="6" t="s">
        <v>27</v>
      </c>
      <c r="C29" s="8">
        <f>C18/C19</f>
        <v>2.3157894736842102</v>
      </c>
      <c r="F29" s="3"/>
      <c r="G29" s="2">
        <f>1/(C16+0.5)+1/(C17+0.5)-1/(E16+0.5)-1/(E17+0.5)</f>
        <v>2.3406471589087915E-2</v>
      </c>
      <c r="H29" s="2"/>
      <c r="I29" s="3"/>
      <c r="J29" s="3"/>
    </row>
    <row r="30" spans="1:10">
      <c r="A30" s="6" t="s">
        <v>28</v>
      </c>
      <c r="C30" s="8">
        <f>((C16+0.5)/(E16+0.5))/((C17+0.5)/(E17+0.5))</f>
        <v>2.303284950343774</v>
      </c>
      <c r="F30" s="3"/>
      <c r="G30" s="2">
        <f>EXP(G3*SQRT(G29))</f>
        <v>1.3496675386362282</v>
      </c>
      <c r="H30" s="2">
        <f>EXP(-G3*SQRT(G29))</f>
        <v>0.74092320617746366</v>
      </c>
      <c r="I30" s="3"/>
      <c r="J30" s="3"/>
    </row>
    <row r="31" spans="1:10">
      <c r="A31" s="9" t="s">
        <v>29</v>
      </c>
      <c r="C31" s="8">
        <f>EXP(LN(G24/G25)-LN(H24/H25))</f>
        <v>2.2601307189542483</v>
      </c>
      <c r="F31" s="3"/>
      <c r="G31" s="2"/>
      <c r="H31" s="2"/>
      <c r="I31" s="3"/>
      <c r="J31" s="3"/>
    </row>
    <row r="32" spans="1:10">
      <c r="A32" s="6">
        <f>C4</f>
        <v>95</v>
      </c>
      <c r="B32" s="6" t="s">
        <v>14</v>
      </c>
      <c r="C32" s="8">
        <f>C30*H30</f>
        <v>1.7065572701490093</v>
      </c>
      <c r="D32" s="8">
        <f>C30*G30</f>
        <v>3.1086689297083487</v>
      </c>
      <c r="F32" s="3"/>
      <c r="G32" s="2"/>
      <c r="H32" s="2"/>
      <c r="I32" s="3"/>
      <c r="J32" s="3"/>
    </row>
    <row r="33" spans="1:10">
      <c r="A33" s="6">
        <f>C4</f>
        <v>95</v>
      </c>
      <c r="B33" s="6" t="s">
        <v>30</v>
      </c>
      <c r="C33" s="8">
        <f>C31*H28</f>
        <v>1.6622928644334836</v>
      </c>
      <c r="D33" s="8">
        <f>C31*G28</f>
        <v>3.0729788811922383</v>
      </c>
      <c r="F33" s="3"/>
      <c r="G33" s="2"/>
      <c r="H33" s="2"/>
      <c r="I33" s="3"/>
      <c r="J33" s="3"/>
    </row>
    <row r="34" spans="1:10">
      <c r="F34" s="3"/>
      <c r="G34" s="2"/>
      <c r="H34" s="2"/>
      <c r="I34" s="3"/>
      <c r="J34" s="3"/>
    </row>
    <row r="35" spans="1:10" ht="18">
      <c r="A35" s="7" t="s">
        <v>31</v>
      </c>
      <c r="F35" s="3"/>
      <c r="G35" s="2"/>
      <c r="H35" s="2"/>
      <c r="I35" s="3"/>
      <c r="J35" s="3"/>
    </row>
    <row r="36" spans="1:10" ht="18">
      <c r="A36" s="6" t="s">
        <v>32</v>
      </c>
      <c r="C36" s="8">
        <f>(C29-1)/C29</f>
        <v>0.56818181818181812</v>
      </c>
      <c r="D36" s="8"/>
      <c r="F36" s="3"/>
      <c r="G36" s="2">
        <f>C16+C17</f>
        <v>71</v>
      </c>
      <c r="H36" s="2">
        <f>E16+E17</f>
        <v>154</v>
      </c>
      <c r="I36" s="3"/>
      <c r="J36" s="3"/>
    </row>
    <row r="37" spans="1:10" ht="18">
      <c r="A37" s="6" t="s">
        <v>33</v>
      </c>
      <c r="C37" s="8">
        <f t="shared" ref="C37:D40" si="0">(C30-1)/C30</f>
        <v>0.56583747927031514</v>
      </c>
      <c r="D37" s="8"/>
      <c r="F37" s="3"/>
      <c r="G37" s="2">
        <f>H36-C17</f>
        <v>116</v>
      </c>
      <c r="H37" s="2">
        <f>C16+(E17-C17)</f>
        <v>107</v>
      </c>
      <c r="I37" s="3"/>
      <c r="J37" s="3"/>
    </row>
    <row r="38" spans="1:10" ht="18">
      <c r="A38" s="6" t="s">
        <v>34</v>
      </c>
      <c r="C38" s="8">
        <f t="shared" si="0"/>
        <v>0.5575477154424523</v>
      </c>
      <c r="D38" s="8"/>
      <c r="F38" s="3"/>
      <c r="G38" s="2">
        <f>H36*C17</f>
        <v>5852</v>
      </c>
      <c r="H38" s="2">
        <f>E17*G36</f>
        <v>7952</v>
      </c>
      <c r="I38" s="3"/>
      <c r="J38" s="3"/>
    </row>
    <row r="39" spans="1:10">
      <c r="A39" s="6">
        <f>C11</f>
        <v>0.38325223131639335</v>
      </c>
      <c r="B39" s="6" t="s">
        <v>14</v>
      </c>
      <c r="C39" s="8">
        <f>(C32-1)/C32</f>
        <v>0.41402493927866579</v>
      </c>
      <c r="D39" s="8">
        <f>(D32-1)/D32</f>
        <v>0.67831891313887238</v>
      </c>
      <c r="F39" s="3"/>
      <c r="G39" s="2">
        <f>G37/G38</f>
        <v>1.9822282980177717E-2</v>
      </c>
      <c r="H39" s="2">
        <f>H37/H38</f>
        <v>1.3455734406438631E-2</v>
      </c>
      <c r="I39" s="3"/>
      <c r="J39" s="3"/>
    </row>
    <row r="40" spans="1:10">
      <c r="A40" s="6">
        <f>C11</f>
        <v>0.38325223131639335</v>
      </c>
      <c r="B40" s="6" t="s">
        <v>30</v>
      </c>
      <c r="C40" s="8">
        <f t="shared" si="0"/>
        <v>0.39842128821216816</v>
      </c>
      <c r="D40" s="8">
        <f t="shared" si="0"/>
        <v>0.67458285960884146</v>
      </c>
      <c r="F40" s="3"/>
      <c r="G40" s="2"/>
      <c r="H40" s="2"/>
      <c r="I40" s="3"/>
      <c r="J40" s="3"/>
    </row>
    <row r="41" spans="1:10">
      <c r="F41" s="3"/>
      <c r="G41" s="2"/>
      <c r="H41" s="2"/>
      <c r="I41" s="3"/>
      <c r="J41" s="3"/>
    </row>
    <row r="42" spans="1:10">
      <c r="A42" s="7" t="s">
        <v>42</v>
      </c>
      <c r="F42" s="3"/>
      <c r="G42" s="2"/>
      <c r="H42" s="2"/>
      <c r="I42" s="3"/>
      <c r="J42" s="3"/>
    </row>
    <row r="43" spans="1:10">
      <c r="A43" s="6" t="s">
        <v>35</v>
      </c>
      <c r="C43" s="8">
        <f>(H45*G43-G45*H43)/(H45*(G43+H43))</f>
        <v>0.60240963855421692</v>
      </c>
      <c r="D43" s="8"/>
      <c r="F43" s="3"/>
      <c r="G43" s="2">
        <f>C16</f>
        <v>33</v>
      </c>
      <c r="H43" s="2">
        <f>E16-C16</f>
        <v>9</v>
      </c>
      <c r="I43" s="3"/>
      <c r="J43" s="3"/>
    </row>
    <row r="44" spans="1:10">
      <c r="A44" s="6" t="s">
        <v>36</v>
      </c>
      <c r="C44" s="8">
        <f>(1-C43)*SQRT(((G43+H43+G44+H44-H43)/((G43+H43+H44+G44)*H43) - (H44+G43)/(H45*(G43+H43)) ))</f>
        <v>0.10810027827619136</v>
      </c>
      <c r="D44" s="8"/>
      <c r="F44" s="3"/>
      <c r="G44" s="2">
        <f>C17</f>
        <v>38</v>
      </c>
      <c r="H44" s="2">
        <f>E17-C17</f>
        <v>74</v>
      </c>
      <c r="I44" s="3"/>
      <c r="J44" s="3"/>
    </row>
    <row r="45" spans="1:10">
      <c r="A45" s="6">
        <f>C4</f>
        <v>95</v>
      </c>
      <c r="B45" s="6" t="s">
        <v>37</v>
      </c>
      <c r="C45" s="8">
        <f>C43-G3*C44</f>
        <v>0.39053698641412427</v>
      </c>
      <c r="D45" s="8">
        <f>1-MAX(1-C43-G3*C44,0)</f>
        <v>0.81428229069430957</v>
      </c>
      <c r="F45" s="3"/>
      <c r="G45" s="2">
        <f>G43+G44</f>
        <v>71</v>
      </c>
      <c r="H45" s="2">
        <f>H43+H44</f>
        <v>83</v>
      </c>
      <c r="I45" s="2">
        <f>G45+H45</f>
        <v>154</v>
      </c>
      <c r="J45" s="3"/>
    </row>
    <row r="46" spans="1:10">
      <c r="A46" s="6">
        <f>C4</f>
        <v>95</v>
      </c>
      <c r="B46" s="6" t="s">
        <v>38</v>
      </c>
      <c r="C46" s="8">
        <f>1-(1-C43)*EXP(G3*G46)</f>
        <v>0.32256469684131694</v>
      </c>
      <c r="D46" s="8">
        <f>1-(1-C43)*EXP(-G3*G46)</f>
        <v>0.76665211455984594</v>
      </c>
      <c r="F46" s="3"/>
      <c r="G46" s="2">
        <f>SQRT(((G43+H43+G44+H44-H43)/((G43+H43+H44+G44)*H43) - (H44+G43)/(H45*(G43+H43)) ))</f>
        <v>0.27188857869466315</v>
      </c>
      <c r="H46" s="2"/>
      <c r="I46" s="3"/>
      <c r="J46" s="3"/>
    </row>
    <row r="47" spans="1:10">
      <c r="F47" s="3"/>
      <c r="G47" s="2"/>
      <c r="H47" s="2"/>
      <c r="I47" s="3"/>
      <c r="J47" s="3"/>
    </row>
    <row r="48" spans="1:10">
      <c r="A48" s="7" t="s">
        <v>43</v>
      </c>
      <c r="F48" s="3"/>
      <c r="G48" s="2"/>
      <c r="H48" s="2"/>
      <c r="I48" s="3"/>
      <c r="J48" s="3"/>
    </row>
    <row r="49" spans="1:10">
      <c r="A49" s="6" t="s">
        <v>35</v>
      </c>
      <c r="C49" s="8">
        <f>(G43*H44-G44*H43)/((G43+H43)*H44)</f>
        <v>0.67567567567567566</v>
      </c>
      <c r="D49" s="8"/>
      <c r="F49" s="3"/>
      <c r="G49" s="2"/>
      <c r="H49" s="2"/>
      <c r="I49" s="3"/>
      <c r="J49" s="3"/>
    </row>
    <row r="50" spans="1:10">
      <c r="A50" s="6" t="s">
        <v>36</v>
      </c>
      <c r="C50" s="8">
        <f>(1-C49)*SQRT(G43/(H43*(G43+H43))+G44/(H44*(G44+H44)) )</f>
        <v>9.8311754362186046E-2</v>
      </c>
      <c r="D50" s="8"/>
      <c r="F50" s="3"/>
      <c r="G50" s="2"/>
      <c r="H50" s="2"/>
      <c r="I50" s="3"/>
      <c r="J50" s="3"/>
    </row>
    <row r="51" spans="1:10">
      <c r="A51" s="6">
        <f>C4</f>
        <v>95</v>
      </c>
      <c r="B51" s="6" t="s">
        <v>37</v>
      </c>
      <c r="C51" s="8">
        <f>C49-G3*C50</f>
        <v>0.48298817786884246</v>
      </c>
      <c r="D51" s="8">
        <f>C49+G3*C50</f>
        <v>0.8683631734825088</v>
      </c>
      <c r="F51" s="3"/>
      <c r="G51" s="2"/>
      <c r="H51" s="2"/>
      <c r="I51" s="3"/>
      <c r="J51" s="3"/>
    </row>
    <row r="52" spans="1:10">
      <c r="A52" s="6">
        <f>C4</f>
        <v>95</v>
      </c>
      <c r="B52" s="6" t="s">
        <v>38</v>
      </c>
      <c r="C52" s="8">
        <f>1-(1-C49)*EXP(G3*C50/(1-C49))</f>
        <v>0.41250731138495411</v>
      </c>
      <c r="D52" s="8">
        <f>1-(1-C49)*EXP(-G3*C50/(1-C49))</f>
        <v>0.82095731676866412</v>
      </c>
      <c r="F52" s="3"/>
      <c r="G52" s="2"/>
      <c r="H52" s="2"/>
      <c r="I52" s="3"/>
      <c r="J52" s="3"/>
    </row>
    <row r="53" spans="1:10">
      <c r="A53" s="6">
        <f>C4</f>
        <v>95</v>
      </c>
      <c r="B53" s="6" t="s">
        <v>39</v>
      </c>
      <c r="C53" s="8">
        <f>(1+((1-C49)/C49)*EXP(G3*C50/(C49*(1-C49))) )^{-1}</f>
        <v>0.46373178373936158</v>
      </c>
      <c r="D53" s="8">
        <f>(1+((1-C49)/C49)*EXP(-G3*C50/(C49*(1-C49))) )^{-1}</f>
        <v>0.83386439721531291</v>
      </c>
      <c r="F53" s="3"/>
      <c r="G53" s="2"/>
      <c r="H53" s="2"/>
      <c r="I53" s="3"/>
      <c r="J53" s="3"/>
    </row>
    <row r="54" spans="1:10">
      <c r="F54" s="3"/>
      <c r="G54" s="2"/>
      <c r="H54" s="2"/>
      <c r="I54" s="3"/>
      <c r="J54" s="3"/>
    </row>
    <row r="55" spans="1:10">
      <c r="A55" s="7" t="s">
        <v>40</v>
      </c>
      <c r="F55" s="3"/>
      <c r="G55" s="2"/>
      <c r="H55" s="2"/>
      <c r="I55" s="3"/>
      <c r="J55" s="3"/>
    </row>
    <row r="56" spans="1:10">
      <c r="A56" s="7" t="s">
        <v>41</v>
      </c>
      <c r="F56" s="3"/>
      <c r="G56" s="2">
        <f>C16</f>
        <v>33</v>
      </c>
      <c r="H56" s="2">
        <f>E16-C16</f>
        <v>9</v>
      </c>
      <c r="I56" s="3"/>
      <c r="J56" s="3"/>
    </row>
    <row r="57" spans="1:10">
      <c r="A57" s="6" t="s">
        <v>40</v>
      </c>
      <c r="C57" s="8">
        <f>G56*H57/(H56*G57)</f>
        <v>7.1403508771929829</v>
      </c>
      <c r="D57" s="8"/>
      <c r="F57" s="3"/>
      <c r="G57" s="2">
        <f>C17</f>
        <v>38</v>
      </c>
      <c r="H57" s="2">
        <f>E17-C17</f>
        <v>74</v>
      </c>
      <c r="I57" s="3"/>
      <c r="J57" s="3"/>
    </row>
    <row r="58" spans="1:10">
      <c r="A58" s="6">
        <f>C4</f>
        <v>95</v>
      </c>
      <c r="B58" s="6" t="s">
        <v>14</v>
      </c>
      <c r="C58" s="8">
        <f>C57*EXP(H59)</f>
        <v>3.0998459258595172</v>
      </c>
      <c r="D58" s="8">
        <f>C57*EXP(G59)</f>
        <v>16.447466057621469</v>
      </c>
      <c r="F58" s="3"/>
      <c r="G58" s="2">
        <f>1/G56+1/H56+1/G57+1/H57</f>
        <v>0.18124344440133913</v>
      </c>
      <c r="H58" s="2"/>
      <c r="I58" s="3"/>
      <c r="J58" s="3"/>
    </row>
    <row r="59" spans="1:10">
      <c r="F59" s="10"/>
      <c r="G59" s="2">
        <f>G3*SQRT(G58)</f>
        <v>0.83440950868773633</v>
      </c>
      <c r="H59" s="2">
        <f>-G3*SQRT(G58)</f>
        <v>-0.83440950868773633</v>
      </c>
      <c r="I59" s="10"/>
      <c r="J59" s="10"/>
    </row>
  </sheetData>
  <sheetProtection password="C76C" sheet="1" objects="1" scenarios="1"/>
  <customSheetViews>
    <customSheetView guid="{00EB5A9C-A171-465E-B4CD-258B8DD97ACA}">
      <selection activeCell="F4" sqref="F4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confidence intervals</vt:lpstr>
    </vt:vector>
  </TitlesOfParts>
  <Company>IMBS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Ziegler</dc:creator>
  <cp:lastModifiedBy>Andreas Ziegler</cp:lastModifiedBy>
  <dcterms:created xsi:type="dcterms:W3CDTF">2009-06-13T11:40:34Z</dcterms:created>
  <dcterms:modified xsi:type="dcterms:W3CDTF">2009-10-27T15:37:43Z</dcterms:modified>
</cp:coreProperties>
</file>